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20" activeTab="3"/>
  </bookViews>
  <sheets>
    <sheet name="25年一般公共预算收支执行" sheetId="21" r:id="rId1"/>
    <sheet name="25年政府性基金收支执行" sheetId="20" r:id="rId2"/>
    <sheet name="2026年一般公共预算草案" sheetId="22" r:id="rId3"/>
    <sheet name="26年政府性基金预算草案" sheetId="19" r:id="rId4"/>
  </sheets>
  <definedNames>
    <definedName name="\d">#REF!</definedName>
    <definedName name="_xlnm.Print_Area" localSheetId="2">'2026年一般公共预算草案'!$A$1:$H$31</definedName>
  </definedNames>
  <calcPr calcId="144525"/>
</workbook>
</file>

<file path=xl/sharedStrings.xml><?xml version="1.0" encoding="utf-8"?>
<sst xmlns="http://schemas.openxmlformats.org/spreadsheetml/2006/main" count="173" uniqueCount="89">
  <si>
    <t xml:space="preserve">附表一   </t>
  </si>
  <si>
    <t>2025年牛头山镇一般公共预算收支执行情况表</t>
  </si>
  <si>
    <t>单位：万元</t>
  </si>
  <si>
    <t>收入</t>
  </si>
  <si>
    <t>执行数</t>
  </si>
  <si>
    <t>为调整预算数%</t>
  </si>
  <si>
    <t>较上年增减增减%</t>
  </si>
  <si>
    <t>支出与结余</t>
  </si>
  <si>
    <t>较上年增减%</t>
  </si>
  <si>
    <t>一、一般公共预算收入</t>
  </si>
  <si>
    <t xml:space="preserve"> 一、一般公共预算支出</t>
  </si>
  <si>
    <t>1、税收收入</t>
  </si>
  <si>
    <t>一般公共服务支出</t>
  </si>
  <si>
    <t>增值税</t>
  </si>
  <si>
    <t>国防支出</t>
  </si>
  <si>
    <t>消费税</t>
  </si>
  <si>
    <t>公共安全支出</t>
  </si>
  <si>
    <t>企业所得税</t>
  </si>
  <si>
    <t>教育支出</t>
  </si>
  <si>
    <t>个人所得税</t>
  </si>
  <si>
    <t>科学技术支出</t>
  </si>
  <si>
    <t>资源税</t>
  </si>
  <si>
    <t>文化旅游体育与传媒支出</t>
  </si>
  <si>
    <t>城建税</t>
  </si>
  <si>
    <t>社会保障和就业支出</t>
  </si>
  <si>
    <t>房产税</t>
  </si>
  <si>
    <t>卫生健康支出</t>
  </si>
  <si>
    <t>印花税</t>
  </si>
  <si>
    <t>节能环保支出</t>
  </si>
  <si>
    <t>土地使用税</t>
  </si>
  <si>
    <t>城乡社区支出</t>
  </si>
  <si>
    <t>土地增值税</t>
  </si>
  <si>
    <t>农林水支出</t>
  </si>
  <si>
    <t>车船使用税</t>
  </si>
  <si>
    <t>交通运输支出</t>
  </si>
  <si>
    <t>教育费附加</t>
  </si>
  <si>
    <t>商业服务业等支出</t>
  </si>
  <si>
    <t>耕地占用税</t>
  </si>
  <si>
    <t>金融支出</t>
  </si>
  <si>
    <t>契税</t>
  </si>
  <si>
    <t>自然资源海洋气象等支出</t>
  </si>
  <si>
    <t>环境保护税</t>
  </si>
  <si>
    <t>住房保障支出</t>
  </si>
  <si>
    <t>灾害防治及应急管理支出</t>
  </si>
  <si>
    <t>其他税收收入</t>
  </si>
  <si>
    <t>其他支出</t>
  </si>
  <si>
    <t>2、非税收入</t>
  </si>
  <si>
    <t>二、上解支出</t>
  </si>
  <si>
    <t>国有资源有偿使用收入</t>
  </si>
  <si>
    <t>其他收入</t>
  </si>
  <si>
    <t>二、财力总计</t>
  </si>
  <si>
    <t>三、支出总计</t>
  </si>
  <si>
    <t>一般公共预算收入</t>
  </si>
  <si>
    <t>体制补助收入</t>
  </si>
  <si>
    <t>上年结转收入</t>
  </si>
  <si>
    <t>上级补助收入</t>
  </si>
  <si>
    <t>结转下年</t>
  </si>
  <si>
    <r>
      <t xml:space="preserve">附表二  </t>
    </r>
    <r>
      <rPr>
        <sz val="12"/>
        <rFont val="宋体"/>
        <charset val="134"/>
      </rPr>
      <t xml:space="preserve"> </t>
    </r>
  </si>
  <si>
    <t>2025年牛头山镇本级政府性基金预算收支执行情况表</t>
  </si>
  <si>
    <t xml:space="preserve">      单位：万元</t>
  </si>
  <si>
    <t>预算科目</t>
  </si>
  <si>
    <t xml:space="preserve"> 一、政府性基金预算收入</t>
  </si>
  <si>
    <t>一、政府性基金预算支出</t>
  </si>
  <si>
    <t xml:space="preserve">   国有土地使用权出让金收入</t>
  </si>
  <si>
    <t xml:space="preserve">    社会保障和就业支出</t>
  </si>
  <si>
    <t xml:space="preserve">    城乡社区支出</t>
  </si>
  <si>
    <t xml:space="preserve">    国有土地使用权出让收入安排的支出</t>
  </si>
  <si>
    <t xml:space="preserve">    城市基础设施配套费安排的支出</t>
  </si>
  <si>
    <t xml:space="preserve">    其他支出</t>
  </si>
  <si>
    <t xml:space="preserve">    其他政府性基金收入安排的支出</t>
  </si>
  <si>
    <t xml:space="preserve">    上解支出</t>
  </si>
  <si>
    <t>二、上级补助收入</t>
  </si>
  <si>
    <t xml:space="preserve">     政府性基金上解支出</t>
  </si>
  <si>
    <t>三、上年结余</t>
  </si>
  <si>
    <t>二、支出类总计</t>
  </si>
  <si>
    <t>四、收入类总计</t>
  </si>
  <si>
    <t>三、结转下年</t>
  </si>
  <si>
    <r>
      <t xml:space="preserve">附表三 </t>
    </r>
    <r>
      <rPr>
        <sz val="12"/>
        <rFont val="宋体"/>
        <charset val="134"/>
      </rPr>
      <t xml:space="preserve">  </t>
    </r>
  </si>
  <si>
    <t>2026年牛头山镇一般公共预算收支情况表（草案）</t>
  </si>
  <si>
    <t>预算数</t>
  </si>
  <si>
    <t>上年执
行数</t>
  </si>
  <si>
    <t>较上年执行数增减%</t>
  </si>
  <si>
    <t>支出和结余</t>
  </si>
  <si>
    <t xml:space="preserve"> </t>
  </si>
  <si>
    <t>结转下年支出</t>
  </si>
  <si>
    <t>附表四</t>
  </si>
  <si>
    <t>2026年牛头山镇政府性基金预算收支情况表（草案）</t>
  </si>
  <si>
    <t>上年执行数</t>
  </si>
  <si>
    <t>三、上年结转</t>
  </si>
</sst>
</file>

<file path=xl/styles.xml><?xml version="1.0" encoding="utf-8"?>
<styleSheet xmlns="http://schemas.openxmlformats.org/spreadsheetml/2006/main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 "/>
    <numFmt numFmtId="178" formatCode="#,##0_ "/>
    <numFmt numFmtId="179" formatCode="0.0%"/>
    <numFmt numFmtId="180" formatCode="0_ "/>
    <numFmt numFmtId="181" formatCode="#,##0.0_ "/>
    <numFmt numFmtId="182" formatCode="0.00_);[Red]\(0.00\)"/>
  </numFmts>
  <fonts count="37">
    <font>
      <sz val="12"/>
      <name val="宋体"/>
      <charset val="134"/>
    </font>
    <font>
      <b/>
      <sz val="12"/>
      <name val="宋体"/>
      <charset val="134"/>
    </font>
    <font>
      <sz val="14"/>
      <name val="仿宋_GB2312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b/>
      <sz val="18"/>
      <name val="宋体"/>
      <charset val="134"/>
    </font>
    <font>
      <sz val="16"/>
      <color indexed="10"/>
      <name val="宋体"/>
      <charset val="134"/>
    </font>
    <font>
      <sz val="22"/>
      <name val="宋体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2"/>
      <name val="仿宋_GB2312"/>
      <charset val="134"/>
    </font>
    <font>
      <sz val="11"/>
      <color indexed="8"/>
      <name val="仿宋_GB2312"/>
      <charset val="134"/>
    </font>
    <font>
      <b/>
      <sz val="11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16"/>
      <name val="宋体"/>
      <charset val="134"/>
    </font>
    <font>
      <sz val="11"/>
      <color indexed="9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b/>
      <sz val="11"/>
      <color indexed="54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sz val="9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  <font>
      <sz val="10"/>
      <name val="Arial"/>
      <charset val="0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70">
    <xf numFmtId="0" fontId="0" fillId="0" borderId="0"/>
    <xf numFmtId="42" fontId="0" fillId="0" borderId="0" applyFont="0" applyFill="0" applyBorder="0" applyAlignment="0" applyProtection="0"/>
    <xf numFmtId="0" fontId="16" fillId="3" borderId="0" applyNumberFormat="0" applyBorder="0" applyAlignment="0" applyProtection="0">
      <alignment vertical="center"/>
    </xf>
    <xf numFmtId="0" fontId="17" fillId="4" borderId="4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9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0" fontId="16" fillId="7" borderId="5" applyNumberFormat="0" applyFont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8" fillId="3" borderId="8" applyNumberFormat="0" applyAlignment="0" applyProtection="0">
      <alignment vertical="center"/>
    </xf>
    <xf numFmtId="0" fontId="29" fillId="3" borderId="4" applyNumberFormat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0" fillId="0" borderId="0"/>
    <xf numFmtId="0" fontId="31" fillId="9" borderId="9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5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6" fillId="0" borderId="0"/>
  </cellStyleXfs>
  <cellXfs count="82">
    <xf numFmtId="0" fontId="0" fillId="0" borderId="0" xfId="0"/>
    <xf numFmtId="0" fontId="1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3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horizontal="left" vertical="center"/>
    </xf>
    <xf numFmtId="49" fontId="6" fillId="2" borderId="2" xfId="29" applyNumberFormat="1" applyFont="1" applyFill="1" applyBorder="1" applyAlignment="1" applyProtection="1">
      <alignment horizontal="center" vertical="center" wrapText="1"/>
    </xf>
    <xf numFmtId="49" fontId="6" fillId="2" borderId="3" xfId="29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177" fontId="7" fillId="2" borderId="2" xfId="0" applyNumberFormat="1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49" fontId="7" fillId="2" borderId="2" xfId="29" applyNumberFormat="1" applyFont="1" applyFill="1" applyBorder="1" applyAlignment="1" applyProtection="1">
      <alignment horizontal="left" vertical="center" wrapText="1"/>
    </xf>
    <xf numFmtId="178" fontId="7" fillId="2" borderId="2" xfId="0" applyNumberFormat="1" applyFont="1" applyFill="1" applyBorder="1" applyAlignment="1">
      <alignment horizontal="center" vertical="center" wrapText="1"/>
    </xf>
    <xf numFmtId="179" fontId="7" fillId="2" borderId="2" xfId="0" applyNumberFormat="1" applyFont="1" applyFill="1" applyBorder="1" applyAlignment="1">
      <alignment horizontal="center" vertical="center"/>
    </xf>
    <xf numFmtId="180" fontId="7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49" fontId="6" fillId="2" borderId="2" xfId="29" applyNumberFormat="1" applyFont="1" applyFill="1" applyBorder="1" applyAlignment="1" applyProtection="1">
      <alignment horizontal="left" vertical="center" wrapText="1"/>
    </xf>
    <xf numFmtId="178" fontId="6" fillId="2" borderId="2" xfId="0" applyNumberFormat="1" applyFont="1" applyFill="1" applyBorder="1" applyAlignment="1">
      <alignment horizontal="center" vertical="center" wrapText="1"/>
    </xf>
    <xf numFmtId="177" fontId="6" fillId="2" borderId="2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right" vertical="center" wrapText="1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9" fontId="0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0" fontId="8" fillId="2" borderId="0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179" fontId="10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179" fontId="11" fillId="2" borderId="3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179" fontId="12" fillId="2" borderId="2" xfId="0" applyNumberFormat="1" applyFont="1" applyFill="1" applyBorder="1" applyAlignment="1">
      <alignment horizontal="center" vertical="center"/>
    </xf>
    <xf numFmtId="177" fontId="13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176" fontId="14" fillId="2" borderId="2" xfId="0" applyNumberFormat="1" applyFont="1" applyFill="1" applyBorder="1" applyAlignment="1">
      <alignment horizontal="center" vertical="center" wrapText="1"/>
    </xf>
    <xf numFmtId="181" fontId="7" fillId="2" borderId="2" xfId="0" applyNumberFormat="1" applyFont="1" applyFill="1" applyBorder="1" applyAlignment="1">
      <alignment horizontal="center" vertical="center" wrapText="1"/>
    </xf>
    <xf numFmtId="182" fontId="13" fillId="2" borderId="2" xfId="67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179" fontId="12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 wrapText="1"/>
    </xf>
    <xf numFmtId="178" fontId="12" fillId="2" borderId="0" xfId="0" applyNumberFormat="1" applyFont="1" applyFill="1" applyBorder="1" applyAlignment="1">
      <alignment horizontal="center" vertical="center"/>
    </xf>
    <xf numFmtId="179" fontId="12" fillId="2" borderId="0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9" fontId="7" fillId="2" borderId="2" xfId="29" applyNumberFormat="1" applyFont="1" applyFill="1" applyBorder="1" applyAlignment="1" applyProtection="1">
      <alignment vertical="center" wrapText="1"/>
    </xf>
    <xf numFmtId="179" fontId="6" fillId="2" borderId="2" xfId="29" applyNumberFormat="1" applyFont="1" applyFill="1" applyBorder="1" applyAlignment="1" applyProtection="1">
      <alignment horizontal="center" vertical="center" wrapText="1"/>
    </xf>
    <xf numFmtId="179" fontId="6" fillId="2" borderId="2" xfId="0" applyNumberFormat="1" applyFont="1" applyFill="1" applyBorder="1" applyAlignment="1">
      <alignment horizontal="center" vertical="center"/>
    </xf>
    <xf numFmtId="0" fontId="0" fillId="2" borderId="0" xfId="0" applyFill="1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31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1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10" fontId="13" fillId="2" borderId="2" xfId="0" applyNumberFormat="1" applyFont="1" applyFill="1" applyBorder="1" applyAlignment="1">
      <alignment horizontal="right" vertical="center"/>
    </xf>
    <xf numFmtId="10" fontId="7" fillId="2" borderId="2" xfId="0" applyNumberFormat="1" applyFont="1" applyFill="1" applyBorder="1" applyAlignment="1">
      <alignment vertical="center" wrapText="1"/>
    </xf>
    <xf numFmtId="49" fontId="7" fillId="2" borderId="2" xfId="0" applyNumberFormat="1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 wrapText="1"/>
    </xf>
  </cellXfs>
  <cellStyles count="7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25" xfId="17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常规 26" xfId="27"/>
    <cellStyle name="常规 31" xfId="28"/>
    <cellStyle name="常规_部门单位用表" xfId="29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常规 16" xfId="36"/>
    <cellStyle name="常规 21" xfId="37"/>
    <cellStyle name="适中" xfId="38" builtinId="28"/>
    <cellStyle name="20% - 强调文字颜色 5" xfId="39" builtinId="46"/>
    <cellStyle name="强调文字颜色 1" xfId="40" builtinId="29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60% - 强调文字颜色 6" xfId="54" builtinId="52"/>
    <cellStyle name="常规 13" xfId="55"/>
    <cellStyle name="常规 17" xfId="56"/>
    <cellStyle name="常规 22" xfId="57"/>
    <cellStyle name="常规 18" xfId="58"/>
    <cellStyle name="常规 19" xfId="59"/>
    <cellStyle name="常规 20" xfId="60"/>
    <cellStyle name="常规 28" xfId="61"/>
    <cellStyle name="常规 33" xfId="62"/>
    <cellStyle name="常规 34" xfId="63"/>
    <cellStyle name="常规 35" xfId="64"/>
    <cellStyle name="常规 32" xfId="65"/>
    <cellStyle name="常规 4" xfId="66"/>
    <cellStyle name="常规 5" xfId="67"/>
    <cellStyle name="常规 36" xfId="68"/>
    <cellStyle name="常规 2" xfId="69"/>
  </cellStyles>
  <tableStyles count="0" defaultTableStyle="TableStyleMedium2" defaultPivotStyle="PivotStyleLight16"/>
  <colors>
    <mruColors>
      <color rgb="00FF0000"/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indexed="10"/>
    <pageSetUpPr fitToPage="1"/>
  </sheetPr>
  <dimension ref="A1:H31"/>
  <sheetViews>
    <sheetView workbookViewId="0">
      <selection activeCell="E6" sqref="E6"/>
    </sheetView>
  </sheetViews>
  <sheetFormatPr defaultColWidth="8.625" defaultRowHeight="14.25" outlineLevelCol="7"/>
  <cols>
    <col min="1" max="1" width="23.625" style="65" customWidth="1"/>
    <col min="2" max="4" width="15.375" style="65" customWidth="1"/>
    <col min="5" max="5" width="28.25" style="65" customWidth="1"/>
    <col min="6" max="8" width="15.25" style="65" customWidth="1"/>
    <col min="9" max="16384" width="8.625" style="65"/>
  </cols>
  <sheetData>
    <row r="1" ht="23" customHeight="1" spans="1:1">
      <c r="A1" s="66" t="s">
        <v>0</v>
      </c>
    </row>
    <row r="2" ht="24.75" customHeight="1" spans="1:8">
      <c r="A2" s="67" t="s">
        <v>1</v>
      </c>
      <c r="B2" s="68"/>
      <c r="C2" s="68"/>
      <c r="D2" s="68"/>
      <c r="E2" s="68"/>
      <c r="F2" s="68"/>
      <c r="G2" s="68"/>
      <c r="H2" s="68"/>
    </row>
    <row r="3" ht="19.5" customHeight="1" spans="1:8">
      <c r="A3" s="69"/>
      <c r="B3" s="70"/>
      <c r="C3" s="71"/>
      <c r="E3" s="72"/>
      <c r="F3" s="73" t="s">
        <v>2</v>
      </c>
      <c r="G3" s="73"/>
      <c r="H3" s="73"/>
    </row>
    <row r="4" ht="36.75" customHeight="1" spans="1:8">
      <c r="A4" s="74" t="s">
        <v>3</v>
      </c>
      <c r="B4" s="74" t="s">
        <v>4</v>
      </c>
      <c r="C4" s="61" t="s">
        <v>5</v>
      </c>
      <c r="D4" s="75" t="s">
        <v>6</v>
      </c>
      <c r="E4" s="74" t="s">
        <v>7</v>
      </c>
      <c r="F4" s="74" t="s">
        <v>4</v>
      </c>
      <c r="G4" s="61" t="s">
        <v>5</v>
      </c>
      <c r="H4" s="61" t="s">
        <v>8</v>
      </c>
    </row>
    <row r="5" ht="18.75" customHeight="1" spans="1:8">
      <c r="A5" s="76" t="s">
        <v>9</v>
      </c>
      <c r="B5" s="43">
        <f>B6+B24</f>
        <v>4541.7</v>
      </c>
      <c r="C5" s="77">
        <f>B5/4489.19</f>
        <v>1.01169698765256</v>
      </c>
      <c r="D5" s="77">
        <v>0.104254651815868</v>
      </c>
      <c r="E5" s="76" t="s">
        <v>10</v>
      </c>
      <c r="F5" s="51">
        <f>SUM(F6:F23)</f>
        <v>6136.38</v>
      </c>
      <c r="G5" s="77">
        <f>F5/6990.38</f>
        <v>0.877832106409093</v>
      </c>
      <c r="H5" s="77">
        <f>(F5-26957.63)/26957.63</f>
        <v>-0.772369455326748</v>
      </c>
    </row>
    <row r="6" ht="18.75" customHeight="1" spans="1:8">
      <c r="A6" s="76" t="s">
        <v>11</v>
      </c>
      <c r="B6" s="43">
        <f>SUM(B7:B23)</f>
        <v>4377</v>
      </c>
      <c r="C6" s="78">
        <f>B6/4347</f>
        <v>1.00690131124914</v>
      </c>
      <c r="D6" s="77">
        <v>0.0874480126806823</v>
      </c>
      <c r="E6" s="79" t="s">
        <v>12</v>
      </c>
      <c r="F6" s="11">
        <v>733.1</v>
      </c>
      <c r="G6" s="78">
        <f>F6/706.14</f>
        <v>1.03817939785312</v>
      </c>
      <c r="H6" s="77">
        <f>(F6-796.91)/796.91</f>
        <v>-0.0800717772395878</v>
      </c>
    </row>
    <row r="7" ht="18.75" customHeight="1" spans="1:8">
      <c r="A7" s="80" t="s">
        <v>13</v>
      </c>
      <c r="B7" s="43">
        <v>2077</v>
      </c>
      <c r="C7" s="78">
        <f>B7/2183.91*100%</f>
        <v>0.951046517484695</v>
      </c>
      <c r="D7" s="77">
        <v>0.217503443828952</v>
      </c>
      <c r="E7" s="79" t="s">
        <v>14</v>
      </c>
      <c r="F7" s="11"/>
      <c r="G7" s="78"/>
      <c r="H7" s="77"/>
    </row>
    <row r="8" ht="18.75" customHeight="1" spans="1:8">
      <c r="A8" s="80" t="s">
        <v>15</v>
      </c>
      <c r="B8" s="43"/>
      <c r="C8" s="78"/>
      <c r="D8" s="77"/>
      <c r="E8" s="79" t="s">
        <v>16</v>
      </c>
      <c r="F8" s="11"/>
      <c r="G8" s="78"/>
      <c r="H8" s="77"/>
    </row>
    <row r="9" ht="18.75" customHeight="1" spans="1:8">
      <c r="A9" s="80" t="s">
        <v>17</v>
      </c>
      <c r="B9" s="43">
        <v>1318</v>
      </c>
      <c r="C9" s="78">
        <f>B9/1200*100%</f>
        <v>1.09833333333333</v>
      </c>
      <c r="D9" s="77">
        <v>-0.0651554055012554</v>
      </c>
      <c r="E9" s="79" t="s">
        <v>18</v>
      </c>
      <c r="F9" s="11">
        <f>2.05+40</f>
        <v>42.05</v>
      </c>
      <c r="G9" s="78">
        <f>F9/42.65</f>
        <v>0.985932004689332</v>
      </c>
      <c r="H9" s="77">
        <f>(F9-33)/33</f>
        <v>0.274242424242424</v>
      </c>
    </row>
    <row r="10" ht="18.75" customHeight="1" spans="1:8">
      <c r="A10" s="80" t="s">
        <v>19</v>
      </c>
      <c r="B10" s="43">
        <v>28</v>
      </c>
      <c r="C10" s="78">
        <f>B10/22.78</f>
        <v>1.22914837576822</v>
      </c>
      <c r="D10" s="77">
        <v>0.74346201743462</v>
      </c>
      <c r="E10" s="79" t="s">
        <v>20</v>
      </c>
      <c r="F10" s="11"/>
      <c r="G10" s="78"/>
      <c r="H10" s="77">
        <f>(F10-587.55)/587.55</f>
        <v>-1</v>
      </c>
    </row>
    <row r="11" ht="18.75" customHeight="1" spans="1:8">
      <c r="A11" s="80" t="s">
        <v>21</v>
      </c>
      <c r="B11" s="43">
        <v>13</v>
      </c>
      <c r="C11" s="78">
        <f>B11/9</f>
        <v>1.44444444444444</v>
      </c>
      <c r="D11" s="77">
        <v>27.8888888888889</v>
      </c>
      <c r="E11" s="79" t="s">
        <v>22</v>
      </c>
      <c r="F11" s="11">
        <v>15.2</v>
      </c>
      <c r="G11" s="78">
        <f>F11/9.35</f>
        <v>1.62566844919786</v>
      </c>
      <c r="H11" s="77">
        <f>(F11-4.88)/4.88</f>
        <v>2.11475409836066</v>
      </c>
    </row>
    <row r="12" ht="18.75" customHeight="1" spans="1:8">
      <c r="A12" s="80" t="s">
        <v>23</v>
      </c>
      <c r="B12" s="43">
        <v>245</v>
      </c>
      <c r="C12" s="78">
        <f>B12/222.5</f>
        <v>1.10112359550562</v>
      </c>
      <c r="D12" s="77">
        <v>0.691171395043832</v>
      </c>
      <c r="E12" s="79" t="s">
        <v>24</v>
      </c>
      <c r="F12" s="11">
        <v>301.14</v>
      </c>
      <c r="G12" s="78">
        <f>F12/312.12</f>
        <v>0.96482122260669</v>
      </c>
      <c r="H12" s="77">
        <f>(F12-322.28)/322.28</f>
        <v>-0.0655951346655082</v>
      </c>
    </row>
    <row r="13" ht="18.75" customHeight="1" spans="1:8">
      <c r="A13" s="80" t="s">
        <v>25</v>
      </c>
      <c r="B13" s="43">
        <v>174</v>
      </c>
      <c r="C13" s="78">
        <f>B13/183.9</f>
        <v>0.946166394779772</v>
      </c>
      <c r="D13" s="77">
        <v>-0.349167757621096</v>
      </c>
      <c r="E13" s="79" t="s">
        <v>26</v>
      </c>
      <c r="F13" s="11">
        <v>40.79</v>
      </c>
      <c r="G13" s="78">
        <f>F13/49.88</f>
        <v>0.817762630312751</v>
      </c>
      <c r="H13" s="77">
        <f>(F13-58.35)/58.35</f>
        <v>-0.300942587832048</v>
      </c>
    </row>
    <row r="14" ht="18.75" customHeight="1" spans="1:8">
      <c r="A14" s="80" t="s">
        <v>27</v>
      </c>
      <c r="B14" s="43">
        <v>101</v>
      </c>
      <c r="C14" s="78">
        <f>B14/114.17</f>
        <v>0.884645703775072</v>
      </c>
      <c r="D14" s="77">
        <v>-0.0445558603727178</v>
      </c>
      <c r="E14" s="79" t="s">
        <v>28</v>
      </c>
      <c r="F14" s="11">
        <v>50.06</v>
      </c>
      <c r="G14" s="78">
        <f>F14/58.06</f>
        <v>0.862211505339304</v>
      </c>
      <c r="H14" s="77">
        <f>(F14-16486.43)/16486.43</f>
        <v>-0.996963563366963</v>
      </c>
    </row>
    <row r="15" ht="18.75" customHeight="1" spans="1:8">
      <c r="A15" s="80" t="s">
        <v>29</v>
      </c>
      <c r="B15" s="43">
        <v>139</v>
      </c>
      <c r="C15" s="78">
        <f>B15/158.4</f>
        <v>0.877525252525252</v>
      </c>
      <c r="D15" s="77">
        <v>-0.290381866448846</v>
      </c>
      <c r="E15" s="79" t="s">
        <v>30</v>
      </c>
      <c r="F15" s="11">
        <f>743.61+756.4</f>
        <v>1500.01</v>
      </c>
      <c r="G15" s="78">
        <f>F15/1497.37</f>
        <v>1.00176309128672</v>
      </c>
      <c r="H15" s="77">
        <f>(F15-6411.72)/6411.72</f>
        <v>-0.766051855040457</v>
      </c>
    </row>
    <row r="16" ht="18.75" customHeight="1" spans="1:8">
      <c r="A16" s="80" t="s">
        <v>31</v>
      </c>
      <c r="B16" s="43">
        <v>8</v>
      </c>
      <c r="C16" s="78">
        <f>B16/12</f>
        <v>0.666666666666667</v>
      </c>
      <c r="D16" s="77">
        <v>9.52631578947368</v>
      </c>
      <c r="E16" s="79" t="s">
        <v>32</v>
      </c>
      <c r="F16" s="11">
        <v>2305.05</v>
      </c>
      <c r="G16" s="78">
        <f>F16/3045.75</f>
        <v>0.756808667815809</v>
      </c>
      <c r="H16" s="77">
        <f>(F16-2007.17)/2007.17</f>
        <v>0.148407957472461</v>
      </c>
    </row>
    <row r="17" ht="18.75" customHeight="1" spans="1:8">
      <c r="A17" s="80" t="s">
        <v>33</v>
      </c>
      <c r="B17" s="43">
        <v>2</v>
      </c>
      <c r="C17" s="78">
        <f>B17/1</f>
        <v>2</v>
      </c>
      <c r="D17" s="77">
        <v>0.234567901234568</v>
      </c>
      <c r="E17" s="79" t="s">
        <v>34</v>
      </c>
      <c r="F17" s="11">
        <v>8.33</v>
      </c>
      <c r="G17" s="78">
        <f>F17/8.33</f>
        <v>1</v>
      </c>
      <c r="H17" s="77">
        <f>(F17-8.33)/8.33</f>
        <v>0</v>
      </c>
    </row>
    <row r="18" ht="18.75" customHeight="1" spans="1:8">
      <c r="A18" s="80" t="s">
        <v>35</v>
      </c>
      <c r="B18" s="43">
        <v>144</v>
      </c>
      <c r="C18" s="78">
        <f>B18/148.5</f>
        <v>0.96969696969697</v>
      </c>
      <c r="D18" s="77">
        <v>0.561822125813449</v>
      </c>
      <c r="E18" s="79" t="s">
        <v>36</v>
      </c>
      <c r="F18" s="11"/>
      <c r="G18" s="78"/>
      <c r="H18" s="77"/>
    </row>
    <row r="19" ht="18.75" customHeight="1" spans="1:8">
      <c r="A19" s="80" t="s">
        <v>37</v>
      </c>
      <c r="B19" s="49">
        <v>48</v>
      </c>
      <c r="C19" s="78"/>
      <c r="D19" s="77"/>
      <c r="E19" s="79" t="s">
        <v>38</v>
      </c>
      <c r="F19" s="11"/>
      <c r="G19" s="78"/>
      <c r="H19" s="77"/>
    </row>
    <row r="20" ht="18.75" customHeight="1" spans="1:8">
      <c r="A20" s="80" t="s">
        <v>39</v>
      </c>
      <c r="B20" s="43">
        <v>80</v>
      </c>
      <c r="C20" s="78">
        <f>B20/90.64</f>
        <v>0.88261253309797</v>
      </c>
      <c r="D20" s="77">
        <v>-0.0468247348981295</v>
      </c>
      <c r="E20" s="79" t="s">
        <v>40</v>
      </c>
      <c r="F20" s="11"/>
      <c r="G20" s="78"/>
      <c r="H20" s="77"/>
    </row>
    <row r="21" ht="18.75" customHeight="1" spans="1:8">
      <c r="A21" s="80" t="s">
        <v>41</v>
      </c>
      <c r="B21" s="43">
        <v>0</v>
      </c>
      <c r="C21" s="78">
        <f>B21/0.2</f>
        <v>0</v>
      </c>
      <c r="D21" s="77">
        <v>-1</v>
      </c>
      <c r="E21" s="79" t="s">
        <v>42</v>
      </c>
      <c r="F21" s="11">
        <v>156.84</v>
      </c>
      <c r="G21" s="78">
        <f>F21/155.7</f>
        <v>1.00732177263969</v>
      </c>
      <c r="H21" s="77">
        <f>(F21-193.46)/193.46</f>
        <v>-0.18928977566422</v>
      </c>
    </row>
    <row r="22" ht="18.75" customHeight="1" spans="1:8">
      <c r="A22" s="80"/>
      <c r="B22" s="43"/>
      <c r="C22" s="78"/>
      <c r="D22" s="77"/>
      <c r="E22" s="79" t="s">
        <v>43</v>
      </c>
      <c r="F22" s="11">
        <v>47.91</v>
      </c>
      <c r="G22" s="78">
        <f>F22/56</f>
        <v>0.855535714285714</v>
      </c>
      <c r="H22" s="77">
        <f>(F22-47.55)/47.55</f>
        <v>0.00757097791798106</v>
      </c>
    </row>
    <row r="23" ht="18.75" customHeight="1" spans="1:8">
      <c r="A23" s="80" t="s">
        <v>44</v>
      </c>
      <c r="B23" s="43"/>
      <c r="C23" s="78"/>
      <c r="D23" s="77"/>
      <c r="E23" s="79" t="s">
        <v>45</v>
      </c>
      <c r="F23" s="11">
        <v>935.9</v>
      </c>
      <c r="G23" s="78"/>
      <c r="H23" s="77"/>
    </row>
    <row r="24" ht="18.75" customHeight="1" spans="1:8">
      <c r="A24" s="76" t="s">
        <v>46</v>
      </c>
      <c r="B24" s="43">
        <f>B25+B26</f>
        <v>164.7</v>
      </c>
      <c r="C24" s="78">
        <f>B24/142.19</f>
        <v>1.15830930445179</v>
      </c>
      <c r="D24" s="77">
        <v>0.8739</v>
      </c>
      <c r="E24" s="76" t="s">
        <v>47</v>
      </c>
      <c r="F24" s="11">
        <v>1671.42</v>
      </c>
      <c r="G24" s="78">
        <f>F24/1369.25</f>
        <v>1.22068285557787</v>
      </c>
      <c r="H24" s="77">
        <f>(F24-2040.85)/2040.85</f>
        <v>-0.181017713207732</v>
      </c>
    </row>
    <row r="25" ht="18.75" customHeight="1" spans="1:8">
      <c r="A25" s="80" t="s">
        <v>48</v>
      </c>
      <c r="B25" s="43">
        <f>126.7+38</f>
        <v>164.7</v>
      </c>
      <c r="C25" s="78">
        <f>B25/142.19</f>
        <v>1.15830930445179</v>
      </c>
      <c r="D25" s="77">
        <v>1.1826</v>
      </c>
      <c r="E25" s="76"/>
      <c r="F25" s="11"/>
      <c r="G25" s="78"/>
      <c r="H25" s="77"/>
    </row>
    <row r="26" ht="18.75" customHeight="1" spans="1:8">
      <c r="A26" s="80" t="s">
        <v>49</v>
      </c>
      <c r="B26" s="43"/>
      <c r="C26" s="78"/>
      <c r="D26" s="77">
        <v>-1</v>
      </c>
      <c r="E26" s="80"/>
      <c r="F26" s="15"/>
      <c r="G26" s="78"/>
      <c r="H26" s="77"/>
    </row>
    <row r="27" ht="18.75" customHeight="1" spans="1:8">
      <c r="A27" s="76" t="s">
        <v>50</v>
      </c>
      <c r="B27" s="43">
        <f>B28+B29+B30+B31</f>
        <v>8077.81</v>
      </c>
      <c r="C27" s="78">
        <f>B27/8359.63</f>
        <v>0.966287981645121</v>
      </c>
      <c r="D27" s="77">
        <f>(B27-29195.69)/29195.69</f>
        <v>-0.723321832777372</v>
      </c>
      <c r="E27" s="76" t="s">
        <v>51</v>
      </c>
      <c r="F27" s="11">
        <f>F24+F5</f>
        <v>7807.8</v>
      </c>
      <c r="G27" s="78">
        <f>F27/8359.63</f>
        <v>0.933988705241739</v>
      </c>
      <c r="H27" s="77">
        <f>(F27-28998.48)/28998.48</f>
        <v>-0.730751404901222</v>
      </c>
    </row>
    <row r="28" ht="18.75" customHeight="1" spans="1:8">
      <c r="A28" s="80" t="s">
        <v>52</v>
      </c>
      <c r="B28" s="51">
        <f>B5</f>
        <v>4541.7</v>
      </c>
      <c r="C28" s="78">
        <f>B28/4489.19</f>
        <v>1.01169698765256</v>
      </c>
      <c r="D28" s="77">
        <f>(B28-4112.91)/4112.91</f>
        <v>0.104254651815868</v>
      </c>
      <c r="E28" s="80"/>
      <c r="F28" s="15"/>
      <c r="G28" s="78"/>
      <c r="H28" s="77"/>
    </row>
    <row r="29" ht="18.75" customHeight="1" spans="1:8">
      <c r="A29" s="80" t="s">
        <v>53</v>
      </c>
      <c r="B29" s="51">
        <v>1527.72</v>
      </c>
      <c r="C29" s="78">
        <v>1</v>
      </c>
      <c r="D29" s="77"/>
      <c r="E29" s="80"/>
      <c r="F29" s="15"/>
      <c r="G29" s="78"/>
      <c r="H29" s="77"/>
    </row>
    <row r="30" ht="18.75" customHeight="1" spans="1:8">
      <c r="A30" s="80" t="s">
        <v>54</v>
      </c>
      <c r="B30" s="51">
        <f>197.21-61</f>
        <v>136.21</v>
      </c>
      <c r="C30" s="78">
        <v>1</v>
      </c>
      <c r="D30" s="77"/>
      <c r="E30" s="80"/>
      <c r="F30" s="15"/>
      <c r="G30" s="78"/>
      <c r="H30" s="77"/>
    </row>
    <row r="31" ht="18.75" customHeight="1" spans="1:8">
      <c r="A31" s="81" t="s">
        <v>55</v>
      </c>
      <c r="B31" s="51">
        <f>F27+F31-B28-B29-B30</f>
        <v>1872.18</v>
      </c>
      <c r="C31" s="78">
        <f>B31/2145.51</f>
        <v>0.87260371659885</v>
      </c>
      <c r="D31" s="77">
        <f>(B31-25082.78)/25082.78</f>
        <v>-0.92535994813972</v>
      </c>
      <c r="E31" s="10" t="s">
        <v>56</v>
      </c>
      <c r="F31" s="11">
        <v>270.01</v>
      </c>
      <c r="G31" s="78"/>
      <c r="H31" s="77">
        <f>(F31-197.21)/197.21</f>
        <v>0.36914963744232</v>
      </c>
    </row>
  </sheetData>
  <mergeCells count="3">
    <mergeCell ref="A2:H2"/>
    <mergeCell ref="B3:C3"/>
    <mergeCell ref="F3:H3"/>
  </mergeCells>
  <printOptions horizontalCentered="1"/>
  <pageMargins left="0" right="0" top="0.590277777777778" bottom="0.196527777777778" header="0.511805555555556" footer="0.511805555555556"/>
  <pageSetup paperSize="9" scale="86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tabColor indexed="10"/>
  </sheetPr>
  <dimension ref="A1:H16"/>
  <sheetViews>
    <sheetView workbookViewId="0">
      <selection activeCell="A2" sqref="A2:H2"/>
    </sheetView>
  </sheetViews>
  <sheetFormatPr defaultColWidth="8.8" defaultRowHeight="14.25" outlineLevelCol="7"/>
  <cols>
    <col min="1" max="1" width="28.375" style="2" customWidth="1"/>
    <col min="2" max="2" width="10.125" style="3" customWidth="1"/>
    <col min="3" max="3" width="10.25" style="3" customWidth="1"/>
    <col min="4" max="4" width="10.75" style="2" customWidth="1"/>
    <col min="5" max="5" width="38.25" style="2" customWidth="1"/>
    <col min="6" max="6" width="9.125" style="3" customWidth="1"/>
    <col min="7" max="7" width="9.25" style="3" customWidth="1"/>
    <col min="8" max="8" width="10.625" style="3" customWidth="1"/>
    <col min="9" max="32" width="9" style="2"/>
    <col min="33" max="16384" width="8.8" style="2"/>
  </cols>
  <sheetData>
    <row r="1" ht="18.75" spans="1:1">
      <c r="A1" s="4" t="s">
        <v>57</v>
      </c>
    </row>
    <row r="2" ht="41.25" customHeight="1" spans="1:8">
      <c r="A2" s="5" t="s">
        <v>58</v>
      </c>
      <c r="B2" s="5"/>
      <c r="C2" s="5"/>
      <c r="D2" s="5"/>
      <c r="E2" s="5"/>
      <c r="F2" s="5"/>
      <c r="G2" s="5"/>
      <c r="H2" s="5"/>
    </row>
    <row r="3" ht="19.5" customHeight="1" spans="1:8">
      <c r="A3" s="6"/>
      <c r="G3" s="7" t="s">
        <v>59</v>
      </c>
      <c r="H3" s="7"/>
    </row>
    <row r="4" s="1" customFormat="1" ht="47.25" customHeight="1" spans="1:8">
      <c r="A4" s="8" t="s">
        <v>60</v>
      </c>
      <c r="B4" s="9" t="s">
        <v>4</v>
      </c>
      <c r="C4" s="61" t="s">
        <v>5</v>
      </c>
      <c r="D4" s="9" t="s">
        <v>8</v>
      </c>
      <c r="E4" s="8" t="s">
        <v>60</v>
      </c>
      <c r="F4" s="9" t="s">
        <v>4</v>
      </c>
      <c r="G4" s="61" t="s">
        <v>5</v>
      </c>
      <c r="H4" s="9" t="s">
        <v>8</v>
      </c>
    </row>
    <row r="5" s="1" customFormat="1" ht="24.95" customHeight="1" spans="1:8">
      <c r="A5" s="10" t="s">
        <v>61</v>
      </c>
      <c r="B5" s="12">
        <f>B6+B7+B8</f>
        <v>0</v>
      </c>
      <c r="C5" s="13">
        <f>B5/753.18</f>
        <v>0</v>
      </c>
      <c r="D5" s="25"/>
      <c r="E5" s="10" t="s">
        <v>62</v>
      </c>
      <c r="F5" s="11">
        <f>F6+F7+F10+F12</f>
        <v>61</v>
      </c>
      <c r="G5" s="13">
        <f>F5/753.18</f>
        <v>0.0809899360046735</v>
      </c>
      <c r="H5" s="25">
        <f>(F5-205.91)/205.91*100%</f>
        <v>-0.703754067310961</v>
      </c>
    </row>
    <row r="6" ht="24.95" customHeight="1" spans="1:8">
      <c r="A6" s="14" t="s">
        <v>63</v>
      </c>
      <c r="B6" s="12"/>
      <c r="C6" s="13">
        <f>B6/753.18</f>
        <v>0</v>
      </c>
      <c r="D6" s="25"/>
      <c r="E6" s="14" t="s">
        <v>64</v>
      </c>
      <c r="F6" s="15"/>
      <c r="G6" s="13"/>
      <c r="H6" s="25"/>
    </row>
    <row r="7" ht="24.95" customHeight="1" spans="1:8">
      <c r="A7" s="14"/>
      <c r="B7" s="12"/>
      <c r="C7" s="13"/>
      <c r="D7" s="25"/>
      <c r="E7" s="14" t="s">
        <v>65</v>
      </c>
      <c r="F7" s="11">
        <f>F8+F9</f>
        <v>0</v>
      </c>
      <c r="G7" s="13"/>
      <c r="H7" s="25">
        <f>(F7-205.91)/205.91*100%</f>
        <v>-1</v>
      </c>
    </row>
    <row r="8" ht="24.95" customHeight="1" spans="1:8">
      <c r="A8" s="14"/>
      <c r="B8" s="12"/>
      <c r="C8" s="13"/>
      <c r="D8" s="25"/>
      <c r="E8" s="62" t="s">
        <v>66</v>
      </c>
      <c r="F8" s="11"/>
      <c r="G8" s="13"/>
      <c r="H8" s="25">
        <f>(F8-205.91)/205.91*100%</f>
        <v>-1</v>
      </c>
    </row>
    <row r="9" ht="24.95" customHeight="1" spans="1:8">
      <c r="A9" s="14"/>
      <c r="B9" s="12"/>
      <c r="C9" s="13"/>
      <c r="D9" s="25"/>
      <c r="E9" s="62" t="s">
        <v>67</v>
      </c>
      <c r="F9" s="12"/>
      <c r="G9" s="13"/>
      <c r="H9" s="25"/>
    </row>
    <row r="10" ht="24.95" customHeight="1" spans="1:8">
      <c r="A10" s="14"/>
      <c r="B10" s="12"/>
      <c r="C10" s="13"/>
      <c r="D10" s="25"/>
      <c r="E10" s="62" t="s">
        <v>68</v>
      </c>
      <c r="F10" s="12">
        <f>F11</f>
        <v>61</v>
      </c>
      <c r="G10" s="13"/>
      <c r="H10" s="25"/>
    </row>
    <row r="11" ht="24.95" customHeight="1" spans="1:8">
      <c r="A11" s="18"/>
      <c r="B11" s="20"/>
      <c r="C11" s="13"/>
      <c r="D11" s="25"/>
      <c r="E11" s="62" t="s">
        <v>69</v>
      </c>
      <c r="F11" s="12">
        <v>61</v>
      </c>
      <c r="G11" s="13"/>
      <c r="H11" s="25"/>
    </row>
    <row r="12" ht="24.95" customHeight="1" spans="1:8">
      <c r="A12" s="14"/>
      <c r="B12" s="12"/>
      <c r="C12" s="13"/>
      <c r="D12" s="25"/>
      <c r="E12" s="62" t="s">
        <v>70</v>
      </c>
      <c r="F12" s="12">
        <f>F13</f>
        <v>0</v>
      </c>
      <c r="G12" s="13"/>
      <c r="H12" s="25"/>
    </row>
    <row r="13" ht="24.95" customHeight="1" spans="1:8">
      <c r="A13" s="21" t="s">
        <v>71</v>
      </c>
      <c r="B13" s="23"/>
      <c r="C13" s="13"/>
      <c r="D13" s="25"/>
      <c r="E13" s="62" t="s">
        <v>72</v>
      </c>
      <c r="F13" s="12"/>
      <c r="G13" s="13"/>
      <c r="H13" s="25"/>
    </row>
    <row r="14" ht="24.95" customHeight="1" spans="1:8">
      <c r="A14" s="21" t="s">
        <v>73</v>
      </c>
      <c r="B14" s="23">
        <v>61</v>
      </c>
      <c r="C14" s="13"/>
      <c r="D14" s="25"/>
      <c r="E14" s="10" t="s">
        <v>74</v>
      </c>
      <c r="F14" s="11">
        <f>F5</f>
        <v>61</v>
      </c>
      <c r="G14" s="13">
        <f>F14/753.18</f>
        <v>0.0809899360046735</v>
      </c>
      <c r="H14" s="25">
        <f>(F14-205.91)/205.91*100%</f>
        <v>-0.703754067310961</v>
      </c>
    </row>
    <row r="15" ht="24.95" customHeight="1" spans="1:8">
      <c r="A15" s="21" t="s">
        <v>75</v>
      </c>
      <c r="B15" s="12">
        <f>B5+B13+B14</f>
        <v>61</v>
      </c>
      <c r="C15" s="13">
        <f>B15/753.18</f>
        <v>0.0809899360046735</v>
      </c>
      <c r="D15" s="25">
        <f>(61-205.91)/205.91*100%</f>
        <v>-0.703754067310961</v>
      </c>
      <c r="E15" s="10" t="s">
        <v>76</v>
      </c>
      <c r="F15" s="24"/>
      <c r="G15" s="63"/>
      <c r="H15" s="64"/>
    </row>
    <row r="16" ht="30" customHeight="1" spans="1:8">
      <c r="A16" s="26"/>
      <c r="B16" s="27"/>
      <c r="C16" s="27"/>
      <c r="D16" s="26"/>
      <c r="E16" s="26"/>
      <c r="F16" s="27"/>
      <c r="G16" s="27"/>
      <c r="H16" s="27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H56"/>
  <sheetViews>
    <sheetView workbookViewId="0">
      <selection activeCell="E5" sqref="E5"/>
    </sheetView>
  </sheetViews>
  <sheetFormatPr defaultColWidth="8.75" defaultRowHeight="14.25" outlineLevelCol="7"/>
  <cols>
    <col min="1" max="1" width="26.5" style="3" customWidth="1"/>
    <col min="2" max="3" width="15.75" style="3" customWidth="1"/>
    <col min="4" max="4" width="15.375" style="29" customWidth="1"/>
    <col min="5" max="5" width="31.625" style="3" customWidth="1"/>
    <col min="6" max="6" width="22.375" style="3" customWidth="1"/>
    <col min="7" max="7" width="21.125" style="3" customWidth="1"/>
    <col min="8" max="8" width="15.5" style="3" customWidth="1"/>
    <col min="9" max="9" width="12.8" style="3"/>
    <col min="10" max="16384" width="8.75" style="3"/>
  </cols>
  <sheetData>
    <row r="1" s="3" customFormat="1" ht="18.75" spans="1:4">
      <c r="A1" s="30" t="s">
        <v>77</v>
      </c>
      <c r="D1" s="29"/>
    </row>
    <row r="2" s="3" customFormat="1" ht="28.5" customHeight="1" spans="1:8">
      <c r="A2" s="31" t="s">
        <v>78</v>
      </c>
      <c r="B2" s="32"/>
      <c r="C2" s="32"/>
      <c r="D2" s="32"/>
      <c r="E2" s="32"/>
      <c r="F2" s="32"/>
      <c r="G2" s="32"/>
      <c r="H2" s="32"/>
    </row>
    <row r="3" s="3" customFormat="1" ht="16.5" customHeight="1" spans="1:8">
      <c r="A3" s="33"/>
      <c r="B3" s="33"/>
      <c r="C3" s="34"/>
      <c r="D3" s="35"/>
      <c r="E3" s="34"/>
      <c r="F3" s="34"/>
      <c r="H3" s="36" t="s">
        <v>2</v>
      </c>
    </row>
    <row r="4" s="28" customFormat="1" ht="46" customHeight="1" spans="1:8">
      <c r="A4" s="37" t="s">
        <v>3</v>
      </c>
      <c r="B4" s="38" t="s">
        <v>79</v>
      </c>
      <c r="C4" s="38" t="s">
        <v>80</v>
      </c>
      <c r="D4" s="37" t="s">
        <v>81</v>
      </c>
      <c r="E4" s="37" t="s">
        <v>82</v>
      </c>
      <c r="F4" s="37" t="s">
        <v>79</v>
      </c>
      <c r="G4" s="37" t="s">
        <v>80</v>
      </c>
      <c r="H4" s="39" t="s">
        <v>81</v>
      </c>
    </row>
    <row r="5" s="28" customFormat="1" ht="18.75" customHeight="1" spans="1:8">
      <c r="A5" s="40" t="s">
        <v>9</v>
      </c>
      <c r="B5" s="11">
        <f>B6+B24</f>
        <v>4789.5356</v>
      </c>
      <c r="C5" s="11">
        <f>C6+C24</f>
        <v>4541.7</v>
      </c>
      <c r="D5" s="16">
        <f>(B5-C5)/C5*100%</f>
        <v>0.0545689059162869</v>
      </c>
      <c r="E5" s="40" t="s">
        <v>10</v>
      </c>
      <c r="F5" s="11">
        <f>SUM(F6:F23)</f>
        <v>5595.57</v>
      </c>
      <c r="G5" s="41">
        <f>SUM(G6:G23)</f>
        <v>6136.38</v>
      </c>
      <c r="H5" s="42">
        <f>(F5-G5)/G5*100%</f>
        <v>-0.08813176498196</v>
      </c>
    </row>
    <row r="6" s="3" customFormat="1" ht="17.25" customHeight="1" spans="1:8">
      <c r="A6" s="40" t="s">
        <v>11</v>
      </c>
      <c r="B6" s="11">
        <f>SUM(B7:B23)</f>
        <v>4694.7556</v>
      </c>
      <c r="C6" s="43">
        <f>SUM(C7:C23)</f>
        <v>4377</v>
      </c>
      <c r="D6" s="16">
        <f t="shared" ref="D6:D31" si="0">(B6-C6)/C6*100%</f>
        <v>0.0725966643819969</v>
      </c>
      <c r="E6" s="44" t="s">
        <v>12</v>
      </c>
      <c r="F6" s="45">
        <v>781.05</v>
      </c>
      <c r="G6" s="11">
        <v>733.1</v>
      </c>
      <c r="H6" s="42">
        <f>(F6-G6)/G6*100%</f>
        <v>0.0654071750102304</v>
      </c>
    </row>
    <row r="7" s="3" customFormat="1" ht="17.25" customHeight="1" spans="1:8">
      <c r="A7" s="46" t="s">
        <v>13</v>
      </c>
      <c r="B7" s="47">
        <v>2206.54</v>
      </c>
      <c r="C7" s="43">
        <v>2077</v>
      </c>
      <c r="D7" s="16">
        <f t="shared" si="0"/>
        <v>0.0623688011555127</v>
      </c>
      <c r="E7" s="44" t="s">
        <v>14</v>
      </c>
      <c r="F7" s="11"/>
      <c r="G7" s="11"/>
      <c r="H7" s="42"/>
    </row>
    <row r="8" s="3" customFormat="1" ht="17.25" customHeight="1" spans="1:8">
      <c r="A8" s="46" t="s">
        <v>15</v>
      </c>
      <c r="B8" s="11"/>
      <c r="C8" s="43"/>
      <c r="D8" s="16"/>
      <c r="E8" s="44" t="s">
        <v>16</v>
      </c>
      <c r="F8" s="11">
        <v>1.3</v>
      </c>
      <c r="G8" s="11"/>
      <c r="H8" s="42"/>
    </row>
    <row r="9" s="3" customFormat="1" ht="17.25" customHeight="1" spans="1:8">
      <c r="A9" s="46" t="s">
        <v>17</v>
      </c>
      <c r="B9" s="48">
        <v>1408.43</v>
      </c>
      <c r="C9" s="43">
        <v>1318</v>
      </c>
      <c r="D9" s="16">
        <f t="shared" si="0"/>
        <v>0.0686115326251897</v>
      </c>
      <c r="E9" s="44" t="s">
        <v>18</v>
      </c>
      <c r="F9" s="11">
        <v>22.55</v>
      </c>
      <c r="G9" s="11">
        <v>42.05</v>
      </c>
      <c r="H9" s="42">
        <f>(F9-G9)/G9*100%</f>
        <v>-0.463733650416171</v>
      </c>
    </row>
    <row r="10" s="3" customFormat="1" ht="17.25" customHeight="1" spans="1:8">
      <c r="A10" s="46" t="s">
        <v>19</v>
      </c>
      <c r="B10" s="11">
        <v>29</v>
      </c>
      <c r="C10" s="43">
        <v>28</v>
      </c>
      <c r="D10" s="16">
        <f t="shared" si="0"/>
        <v>0.0357142857142857</v>
      </c>
      <c r="E10" s="44" t="s">
        <v>20</v>
      </c>
      <c r="F10" s="11"/>
      <c r="G10" s="11"/>
      <c r="H10" s="42"/>
    </row>
    <row r="11" s="3" customFormat="1" ht="17.25" customHeight="1" spans="1:8">
      <c r="A11" s="46" t="s">
        <v>21</v>
      </c>
      <c r="B11" s="11">
        <v>15.5</v>
      </c>
      <c r="C11" s="43">
        <v>13</v>
      </c>
      <c r="D11" s="16">
        <f t="shared" si="0"/>
        <v>0.192307692307692</v>
      </c>
      <c r="E11" s="44" t="s">
        <v>22</v>
      </c>
      <c r="F11" s="11"/>
      <c r="G11" s="11">
        <v>15.2</v>
      </c>
      <c r="H11" s="42">
        <f t="shared" ref="H10:H17" si="1">(F11-G11)/G11*100%</f>
        <v>-1</v>
      </c>
    </row>
    <row r="12" s="3" customFormat="1" ht="17.25" customHeight="1" spans="1:8">
      <c r="A12" s="46" t="s">
        <v>23</v>
      </c>
      <c r="B12" s="11">
        <v>281.6856</v>
      </c>
      <c r="C12" s="43">
        <v>245</v>
      </c>
      <c r="D12" s="16">
        <f t="shared" si="0"/>
        <v>0.149737142857143</v>
      </c>
      <c r="E12" s="44" t="s">
        <v>24</v>
      </c>
      <c r="F12" s="11">
        <v>291.24</v>
      </c>
      <c r="G12" s="11">
        <v>301.14</v>
      </c>
      <c r="H12" s="42">
        <f t="shared" si="1"/>
        <v>-0.0328750747160788</v>
      </c>
    </row>
    <row r="13" s="3" customFormat="1" ht="17.25" customHeight="1" spans="1:8">
      <c r="A13" s="46" t="s">
        <v>25</v>
      </c>
      <c r="B13" s="11">
        <v>187.79</v>
      </c>
      <c r="C13" s="43">
        <v>174</v>
      </c>
      <c r="D13" s="16">
        <f t="shared" si="0"/>
        <v>0.0792528735632183</v>
      </c>
      <c r="E13" s="44" t="s">
        <v>26</v>
      </c>
      <c r="F13" s="11">
        <v>50.33</v>
      </c>
      <c r="G13" s="11">
        <v>40.79</v>
      </c>
      <c r="H13" s="42">
        <f t="shared" si="1"/>
        <v>0.233880853150282</v>
      </c>
    </row>
    <row r="14" s="3" customFormat="1" ht="17.25" customHeight="1" spans="1:8">
      <c r="A14" s="46" t="s">
        <v>27</v>
      </c>
      <c r="B14" s="11">
        <v>108</v>
      </c>
      <c r="C14" s="43">
        <v>101</v>
      </c>
      <c r="D14" s="16">
        <f t="shared" si="0"/>
        <v>0.0693069306930693</v>
      </c>
      <c r="E14" s="44" t="s">
        <v>28</v>
      </c>
      <c r="F14" s="11">
        <v>66.05</v>
      </c>
      <c r="G14" s="11">
        <v>50.06</v>
      </c>
      <c r="H14" s="42">
        <f t="shared" si="1"/>
        <v>0.319416699960048</v>
      </c>
    </row>
    <row r="15" s="3" customFormat="1" ht="17.25" customHeight="1" spans="1:8">
      <c r="A15" s="46" t="s">
        <v>29</v>
      </c>
      <c r="B15" s="11">
        <v>145.83</v>
      </c>
      <c r="C15" s="43">
        <v>139</v>
      </c>
      <c r="D15" s="16">
        <f t="shared" si="0"/>
        <v>0.0491366906474821</v>
      </c>
      <c r="E15" s="44" t="s">
        <v>30</v>
      </c>
      <c r="F15" s="11">
        <f>341.38+634.64+57.79+805.72+428.77+270.01-630.47-40.29</f>
        <v>1867.55</v>
      </c>
      <c r="G15" s="11">
        <v>1500.01</v>
      </c>
      <c r="H15" s="42">
        <f t="shared" si="1"/>
        <v>0.245025033166446</v>
      </c>
    </row>
    <row r="16" s="3" customFormat="1" ht="17.25" customHeight="1" spans="1:8">
      <c r="A16" s="46" t="s">
        <v>31</v>
      </c>
      <c r="B16" s="11">
        <v>9.42</v>
      </c>
      <c r="C16" s="43">
        <v>8</v>
      </c>
      <c r="D16" s="16">
        <f t="shared" si="0"/>
        <v>0.1775</v>
      </c>
      <c r="E16" s="44" t="s">
        <v>32</v>
      </c>
      <c r="F16" s="11">
        <f>2924.04-630.48</f>
        <v>2293.56</v>
      </c>
      <c r="G16" s="11">
        <v>2305.05</v>
      </c>
      <c r="H16" s="42">
        <f t="shared" si="1"/>
        <v>-0.00498470749007624</v>
      </c>
    </row>
    <row r="17" s="3" customFormat="1" ht="17.25" customHeight="1" spans="1:8">
      <c r="A17" s="46" t="s">
        <v>33</v>
      </c>
      <c r="B17" s="11">
        <v>2.1</v>
      </c>
      <c r="C17" s="43">
        <v>2</v>
      </c>
      <c r="D17" s="16">
        <f t="shared" si="0"/>
        <v>0.05</v>
      </c>
      <c r="E17" s="44" t="s">
        <v>34</v>
      </c>
      <c r="F17" s="11">
        <v>8.33</v>
      </c>
      <c r="G17" s="11">
        <v>8.33</v>
      </c>
      <c r="H17" s="42">
        <f t="shared" si="1"/>
        <v>0</v>
      </c>
    </row>
    <row r="18" s="3" customFormat="1" ht="17.25" customHeight="1" spans="1:8">
      <c r="A18" s="46" t="s">
        <v>35</v>
      </c>
      <c r="B18" s="11">
        <v>154.92</v>
      </c>
      <c r="C18" s="43">
        <v>144</v>
      </c>
      <c r="D18" s="16">
        <f t="shared" si="0"/>
        <v>0.0758333333333333</v>
      </c>
      <c r="E18" s="44" t="s">
        <v>36</v>
      </c>
      <c r="F18" s="11"/>
      <c r="G18" s="11"/>
      <c r="H18" s="42"/>
    </row>
    <row r="19" s="3" customFormat="1" ht="17.25" customHeight="1" spans="1:8">
      <c r="A19" s="46" t="s">
        <v>37</v>
      </c>
      <c r="B19" s="11">
        <v>51.64</v>
      </c>
      <c r="C19" s="49">
        <v>48</v>
      </c>
      <c r="D19" s="16"/>
      <c r="E19" s="44" t="s">
        <v>38</v>
      </c>
      <c r="F19" s="11"/>
      <c r="G19" s="11"/>
      <c r="H19" s="42"/>
    </row>
    <row r="20" s="3" customFormat="1" ht="17.25" customHeight="1" spans="1:8">
      <c r="A20" s="46" t="s">
        <v>39</v>
      </c>
      <c r="B20" s="11">
        <v>93.9</v>
      </c>
      <c r="C20" s="43">
        <v>80</v>
      </c>
      <c r="D20" s="16">
        <f t="shared" si="0"/>
        <v>0.17375</v>
      </c>
      <c r="E20" s="44" t="s">
        <v>40</v>
      </c>
      <c r="F20" s="11"/>
      <c r="G20" s="11"/>
      <c r="H20" s="42"/>
    </row>
    <row r="21" s="3" customFormat="1" ht="17.25" customHeight="1" spans="1:8">
      <c r="A21" s="46" t="s">
        <v>41</v>
      </c>
      <c r="B21" s="11"/>
      <c r="C21" s="43">
        <v>0</v>
      </c>
      <c r="D21" s="16"/>
      <c r="E21" s="44" t="s">
        <v>42</v>
      </c>
      <c r="F21" s="11">
        <v>164.61</v>
      </c>
      <c r="G21" s="11">
        <v>156.84</v>
      </c>
      <c r="H21" s="42">
        <f>(F21-G21)/G21*100%</f>
        <v>0.0495409334353482</v>
      </c>
    </row>
    <row r="22" s="3" customFormat="1" ht="17.25" customHeight="1" spans="1:8">
      <c r="A22" s="46" t="s">
        <v>44</v>
      </c>
      <c r="B22" s="15"/>
      <c r="C22" s="43"/>
      <c r="D22" s="16"/>
      <c r="E22" s="44" t="s">
        <v>43</v>
      </c>
      <c r="F22" s="11">
        <v>49</v>
      </c>
      <c r="G22" s="11">
        <v>47.91</v>
      </c>
      <c r="H22" s="42">
        <f>(F22-G22)/G22*100%</f>
        <v>0.0227509914422877</v>
      </c>
    </row>
    <row r="23" s="3" customFormat="1" ht="17.25" customHeight="1" spans="1:8">
      <c r="A23" s="50"/>
      <c r="B23" s="15"/>
      <c r="C23" s="43"/>
      <c r="D23" s="16"/>
      <c r="E23" s="44" t="s">
        <v>45</v>
      </c>
      <c r="F23" s="11"/>
      <c r="G23" s="11">
        <v>935.9</v>
      </c>
      <c r="H23" s="42"/>
    </row>
    <row r="24" s="3" customFormat="1" ht="17.25" customHeight="1" spans="1:8">
      <c r="A24" s="40" t="s">
        <v>46</v>
      </c>
      <c r="B24" s="11">
        <f>B25+B26</f>
        <v>94.78</v>
      </c>
      <c r="C24" s="11">
        <f>C25+C26</f>
        <v>164.7</v>
      </c>
      <c r="D24" s="16">
        <f>(B24-C24)/C24*100%</f>
        <v>-0.424529447480267</v>
      </c>
      <c r="E24" s="40" t="s">
        <v>47</v>
      </c>
      <c r="F24" s="11">
        <f>B28+B29-3344.77</f>
        <v>2972.4856</v>
      </c>
      <c r="G24" s="41">
        <v>1671.42</v>
      </c>
      <c r="H24" s="42">
        <f>(F24-G24)/G24*100%</f>
        <v>0.778419308133204</v>
      </c>
    </row>
    <row r="25" s="3" customFormat="1" ht="17.25" customHeight="1" spans="1:8">
      <c r="A25" s="46" t="s">
        <v>48</v>
      </c>
      <c r="B25" s="11">
        <f>71.77+23.01</f>
        <v>94.78</v>
      </c>
      <c r="C25" s="43">
        <f>126.7+38</f>
        <v>164.7</v>
      </c>
      <c r="D25" s="16">
        <f>(B25-C25)/C25*100%</f>
        <v>-0.424529447480267</v>
      </c>
      <c r="E25" s="40"/>
      <c r="F25" s="11"/>
      <c r="G25" s="41" t="s">
        <v>83</v>
      </c>
      <c r="H25" s="42"/>
    </row>
    <row r="26" s="3" customFormat="1" ht="17.25" customHeight="1" spans="1:8">
      <c r="A26" s="46" t="s">
        <v>49</v>
      </c>
      <c r="B26" s="15"/>
      <c r="C26" s="43"/>
      <c r="D26" s="16"/>
      <c r="E26" s="46"/>
      <c r="F26" s="11"/>
      <c r="G26" s="41"/>
      <c r="H26" s="42"/>
    </row>
    <row r="27" s="3" customFormat="1" ht="17.25" customHeight="1" spans="1:8">
      <c r="A27" s="40" t="s">
        <v>50</v>
      </c>
      <c r="B27" s="11">
        <f>B28+B30+B31+B29</f>
        <v>8568.0556</v>
      </c>
      <c r="C27" s="11">
        <f>C28+C30+C31+C29</f>
        <v>8077.81</v>
      </c>
      <c r="D27" s="16">
        <f t="shared" si="0"/>
        <v>0.0606904099007033</v>
      </c>
      <c r="E27" s="40" t="s">
        <v>51</v>
      </c>
      <c r="F27" s="11">
        <f>F24+F5</f>
        <v>8568.0556</v>
      </c>
      <c r="G27" s="41">
        <f>G24+G5</f>
        <v>7807.8</v>
      </c>
      <c r="H27" s="42">
        <f>(F27-G27)/G27*100%</f>
        <v>0.0973712953712954</v>
      </c>
    </row>
    <row r="28" s="3" customFormat="1" ht="17.25" customHeight="1" spans="1:8">
      <c r="A28" s="46" t="s">
        <v>52</v>
      </c>
      <c r="B28" s="11">
        <f>B5</f>
        <v>4789.5356</v>
      </c>
      <c r="C28" s="51">
        <f>C5</f>
        <v>4541.7</v>
      </c>
      <c r="D28" s="16">
        <f t="shared" si="0"/>
        <v>0.0545689059162869</v>
      </c>
      <c r="E28" s="46"/>
      <c r="F28" s="11"/>
      <c r="G28" s="41"/>
      <c r="H28" s="42"/>
    </row>
    <row r="29" s="3" customFormat="1" ht="17.25" customHeight="1" spans="1:8">
      <c r="A29" s="46" t="s">
        <v>53</v>
      </c>
      <c r="B29" s="11">
        <v>1527.72</v>
      </c>
      <c r="C29" s="51">
        <v>1527.72</v>
      </c>
      <c r="D29" s="16">
        <f t="shared" si="0"/>
        <v>0</v>
      </c>
      <c r="E29" s="46"/>
      <c r="F29" s="11"/>
      <c r="G29" s="41"/>
      <c r="H29" s="42"/>
    </row>
    <row r="30" s="3" customFormat="1" ht="17.25" customHeight="1" spans="1:8">
      <c r="A30" s="52" t="s">
        <v>55</v>
      </c>
      <c r="B30" s="47">
        <f>F27-B28-B31-B29</f>
        <v>1980.79</v>
      </c>
      <c r="C30" s="51">
        <f>G27+G31-C28-C29-C31</f>
        <v>1872.18</v>
      </c>
      <c r="D30" s="16">
        <f t="shared" si="0"/>
        <v>0.0580125842600603</v>
      </c>
      <c r="E30" s="50"/>
      <c r="F30" s="11"/>
      <c r="G30" s="41"/>
      <c r="H30" s="42"/>
    </row>
    <row r="31" s="3" customFormat="1" ht="20.1" customHeight="1" spans="1:8">
      <c r="A31" s="52" t="s">
        <v>54</v>
      </c>
      <c r="B31" s="53">
        <v>270.01</v>
      </c>
      <c r="C31" s="54">
        <f>197.21-61</f>
        <v>136.21</v>
      </c>
      <c r="D31" s="16">
        <f t="shared" si="0"/>
        <v>0.98230673225167</v>
      </c>
      <c r="E31" s="10" t="s">
        <v>84</v>
      </c>
      <c r="F31" s="54"/>
      <c r="G31" s="41">
        <v>270.01</v>
      </c>
      <c r="H31" s="42"/>
    </row>
    <row r="32" s="3" customFormat="1" ht="20.1" customHeight="1" spans="1:8">
      <c r="A32" s="55"/>
      <c r="B32" s="55"/>
      <c r="C32" s="55"/>
      <c r="D32" s="56"/>
      <c r="E32" s="57"/>
      <c r="F32" s="57"/>
      <c r="G32" s="57"/>
      <c r="H32" s="57"/>
    </row>
    <row r="33" s="3" customFormat="1" ht="20.1" customHeight="1" spans="1:8">
      <c r="A33" s="55"/>
      <c r="B33" s="58"/>
      <c r="C33" s="55"/>
      <c r="D33" s="56"/>
      <c r="E33" s="57"/>
      <c r="F33" s="57"/>
      <c r="G33" s="57"/>
      <c r="H33" s="57"/>
    </row>
    <row r="34" s="28" customFormat="1" ht="20.1" customHeight="1" spans="1:8">
      <c r="A34" s="57"/>
      <c r="B34" s="57"/>
      <c r="C34" s="57"/>
      <c r="D34" s="59"/>
      <c r="E34" s="57"/>
      <c r="F34" s="57"/>
      <c r="G34" s="57"/>
      <c r="H34" s="57"/>
    </row>
    <row r="35" s="3" customFormat="1" ht="20.1" customHeight="1" spans="1:8">
      <c r="A35" s="57"/>
      <c r="B35" s="57"/>
      <c r="C35" s="57"/>
      <c r="D35" s="59"/>
      <c r="E35" s="57"/>
      <c r="F35" s="57"/>
      <c r="G35" s="57"/>
      <c r="H35" s="57"/>
    </row>
    <row r="36" s="3" customFormat="1" ht="20.1" customHeight="1" spans="1:8">
      <c r="A36" s="57"/>
      <c r="B36" s="57"/>
      <c r="C36" s="57"/>
      <c r="D36" s="59"/>
      <c r="E36" s="57"/>
      <c r="F36" s="57"/>
      <c r="G36" s="57"/>
      <c r="H36" s="57"/>
    </row>
    <row r="37" s="3" customFormat="1" ht="20.1" customHeight="1" spans="1:8">
      <c r="A37" s="57"/>
      <c r="B37" s="57"/>
      <c r="C37" s="57"/>
      <c r="D37" s="59"/>
      <c r="E37" s="57"/>
      <c r="F37" s="57"/>
      <c r="G37" s="57"/>
      <c r="H37" s="57"/>
    </row>
    <row r="38" s="3" customFormat="1" ht="20.1" customHeight="1" spans="1:8">
      <c r="A38" s="57"/>
      <c r="B38" s="57"/>
      <c r="C38" s="57"/>
      <c r="D38" s="59"/>
      <c r="E38" s="57"/>
      <c r="F38" s="57"/>
      <c r="G38" s="57"/>
      <c r="H38" s="57"/>
    </row>
    <row r="39" s="3" customFormat="1" ht="20.1" customHeight="1" spans="1:8">
      <c r="A39" s="57"/>
      <c r="B39" s="57"/>
      <c r="C39" s="57"/>
      <c r="D39" s="59"/>
      <c r="E39" s="57"/>
      <c r="F39" s="57"/>
      <c r="G39" s="57"/>
      <c r="H39" s="57"/>
    </row>
    <row r="40" s="3" customFormat="1" ht="20.1" customHeight="1" spans="1:8">
      <c r="A40" s="57"/>
      <c r="B40" s="57"/>
      <c r="C40" s="57"/>
      <c r="D40" s="59"/>
      <c r="E40" s="57"/>
      <c r="G40" s="57"/>
      <c r="H40" s="57"/>
    </row>
    <row r="41" s="3" customFormat="1" ht="18" customHeight="1" spans="1:4">
      <c r="A41" s="57"/>
      <c r="B41" s="57"/>
      <c r="C41" s="57"/>
      <c r="D41" s="59"/>
    </row>
    <row r="42" s="3" customFormat="1" ht="13.5" customHeight="1" spans="1:6">
      <c r="A42" s="57"/>
      <c r="B42" s="57"/>
      <c r="C42" s="57"/>
      <c r="D42" s="59"/>
      <c r="F42" s="57"/>
    </row>
    <row r="43" s="3" customFormat="1" ht="13.5" customHeight="1" spans="4:8">
      <c r="D43" s="29"/>
      <c r="E43" s="57"/>
      <c r="G43" s="57"/>
      <c r="H43" s="57"/>
    </row>
    <row r="44" s="3" customFormat="1" ht="13.5" customHeight="1" spans="1:4">
      <c r="A44" s="55"/>
      <c r="B44" s="55"/>
      <c r="C44" s="60"/>
      <c r="D44" s="29"/>
    </row>
    <row r="45" s="3" customFormat="1" ht="13.5" customHeight="1" spans="1:4">
      <c r="A45" s="57"/>
      <c r="B45" s="57"/>
      <c r="C45" s="57"/>
      <c r="D45" s="59"/>
    </row>
    <row r="46" s="3" customFormat="1" ht="13.5" customHeight="1" spans="1:6">
      <c r="A46" s="55"/>
      <c r="B46" s="55"/>
      <c r="D46" s="29"/>
      <c r="F46" s="57"/>
    </row>
    <row r="47" s="3" customFormat="1" ht="13.5" customHeight="1" spans="1:8">
      <c r="A47" s="55"/>
      <c r="B47" s="55"/>
      <c r="D47" s="29"/>
      <c r="E47" s="57"/>
      <c r="G47" s="57"/>
      <c r="H47" s="57"/>
    </row>
    <row r="48" s="3" customFormat="1" ht="13.5" customHeight="1" spans="1:4">
      <c r="A48" s="55"/>
      <c r="B48" s="55"/>
      <c r="C48" s="60"/>
      <c r="D48" s="29"/>
    </row>
    <row r="49" s="3" customFormat="1" ht="13.5" customHeight="1" spans="1:4">
      <c r="A49" s="57"/>
      <c r="B49" s="57"/>
      <c r="C49" s="57"/>
      <c r="D49" s="59"/>
    </row>
    <row r="50" s="3" customFormat="1" ht="13.5" customHeight="1" spans="1:4">
      <c r="A50" s="55"/>
      <c r="B50" s="55"/>
      <c r="D50" s="29"/>
    </row>
    <row r="51" s="3" customFormat="1" ht="13.5" customHeight="1" spans="1:4">
      <c r="A51" s="55"/>
      <c r="B51" s="55"/>
      <c r="D51" s="29"/>
    </row>
    <row r="52" s="3" customFormat="1" ht="13.5" customHeight="1" spans="4:4">
      <c r="D52" s="29"/>
    </row>
    <row r="53" s="3" customFormat="1" spans="4:4">
      <c r="D53" s="29"/>
    </row>
    <row r="54" s="3" customFormat="1" spans="4:4">
      <c r="D54" s="29"/>
    </row>
    <row r="55" s="3" customFormat="1" spans="4:4">
      <c r="D55" s="29"/>
    </row>
    <row r="56" s="3" customFormat="1" ht="23.25" customHeight="1" spans="4:4">
      <c r="D56" s="29"/>
    </row>
  </sheetData>
  <mergeCells count="1">
    <mergeCell ref="A2:H2"/>
  </mergeCells>
  <pageMargins left="0.75" right="0.75" top="1" bottom="1" header="0.5" footer="0.5"/>
  <pageSetup paperSize="9" scale="74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tabColor indexed="10"/>
  </sheetPr>
  <dimension ref="A1:H16"/>
  <sheetViews>
    <sheetView tabSelected="1" workbookViewId="0">
      <selection activeCell="E22" sqref="E22"/>
    </sheetView>
  </sheetViews>
  <sheetFormatPr defaultColWidth="8.8" defaultRowHeight="14.25" outlineLevelCol="7"/>
  <cols>
    <col min="1" max="1" width="28.25" style="2" customWidth="1"/>
    <col min="2" max="2" width="10.125" style="3" customWidth="1"/>
    <col min="3" max="3" width="8.125" style="3" customWidth="1"/>
    <col min="4" max="4" width="11.625" style="2" customWidth="1"/>
    <col min="5" max="5" width="37.75" style="2" customWidth="1"/>
    <col min="6" max="6" width="9.75" style="3" customWidth="1"/>
    <col min="7" max="7" width="8.625" style="3" customWidth="1"/>
    <col min="8" max="8" width="9.75" style="3" customWidth="1"/>
    <col min="9" max="32" width="9" style="2"/>
    <col min="33" max="16384" width="8.8" style="2"/>
  </cols>
  <sheetData>
    <row r="1" ht="18.75" spans="1:1">
      <c r="A1" s="4" t="s">
        <v>85</v>
      </c>
    </row>
    <row r="2" ht="41.25" customHeight="1" spans="1:8">
      <c r="A2" s="5" t="s">
        <v>86</v>
      </c>
      <c r="B2" s="5"/>
      <c r="C2" s="5"/>
      <c r="D2" s="5"/>
      <c r="E2" s="5"/>
      <c r="F2" s="5"/>
      <c r="G2" s="5"/>
      <c r="H2" s="5"/>
    </row>
    <row r="3" ht="19.5" customHeight="1" spans="1:8">
      <c r="A3" s="6"/>
      <c r="G3" s="7" t="s">
        <v>59</v>
      </c>
      <c r="H3" s="7"/>
    </row>
    <row r="4" s="1" customFormat="1" ht="47.25" customHeight="1" spans="1:8">
      <c r="A4" s="8" t="s">
        <v>60</v>
      </c>
      <c r="B4" s="9" t="s">
        <v>79</v>
      </c>
      <c r="C4" s="9" t="s">
        <v>87</v>
      </c>
      <c r="D4" s="9" t="s">
        <v>81</v>
      </c>
      <c r="E4" s="8" t="s">
        <v>60</v>
      </c>
      <c r="F4" s="9" t="s">
        <v>79</v>
      </c>
      <c r="G4" s="9" t="s">
        <v>87</v>
      </c>
      <c r="H4" s="9" t="s">
        <v>81</v>
      </c>
    </row>
    <row r="5" s="1" customFormat="1" ht="24.95" customHeight="1" spans="1:8">
      <c r="A5" s="10" t="s">
        <v>61</v>
      </c>
      <c r="B5" s="11">
        <f>B6</f>
        <v>1014.55</v>
      </c>
      <c r="C5" s="12">
        <f>C6+C13+C14</f>
        <v>61</v>
      </c>
      <c r="D5" s="13">
        <f>(B5-C5)/C5</f>
        <v>15.6319672131148</v>
      </c>
      <c r="E5" s="10" t="s">
        <v>62</v>
      </c>
      <c r="F5" s="11">
        <f>F6+F7+F10+F12</f>
        <v>1014.55</v>
      </c>
      <c r="G5" s="11">
        <f>G6+G7+G10+G12</f>
        <v>61</v>
      </c>
      <c r="H5" s="13">
        <f>(F5-G5)/G5*100%</f>
        <v>15.6319672131148</v>
      </c>
    </row>
    <row r="6" ht="24.95" customHeight="1" spans="1:8">
      <c r="A6" s="14" t="s">
        <v>63</v>
      </c>
      <c r="B6" s="11">
        <f>630.48+384.07</f>
        <v>1014.55</v>
      </c>
      <c r="C6" s="12"/>
      <c r="D6" s="13"/>
      <c r="E6" s="14" t="s">
        <v>64</v>
      </c>
      <c r="F6" s="15"/>
      <c r="G6" s="15"/>
      <c r="H6" s="16"/>
    </row>
    <row r="7" ht="24.95" customHeight="1" spans="1:8">
      <c r="A7" s="14"/>
      <c r="B7" s="17"/>
      <c r="C7" s="12"/>
      <c r="D7" s="13"/>
      <c r="E7" s="14" t="s">
        <v>65</v>
      </c>
      <c r="F7" s="11">
        <f>F8+F9</f>
        <v>1014.55</v>
      </c>
      <c r="G7" s="11">
        <f>G8+G9</f>
        <v>0</v>
      </c>
      <c r="H7" s="13"/>
    </row>
    <row r="8" ht="24.95" customHeight="1" spans="1:8">
      <c r="A8" s="14"/>
      <c r="B8" s="17"/>
      <c r="C8" s="12"/>
      <c r="D8" s="13"/>
      <c r="E8" s="14" t="s">
        <v>66</v>
      </c>
      <c r="F8" s="11">
        <f>630.48+384.07</f>
        <v>1014.55</v>
      </c>
      <c r="G8" s="11"/>
      <c r="H8" s="13"/>
    </row>
    <row r="9" ht="24.95" customHeight="1" spans="1:8">
      <c r="A9" s="14"/>
      <c r="B9" s="12"/>
      <c r="C9" s="12"/>
      <c r="D9" s="13"/>
      <c r="E9" s="14" t="s">
        <v>67</v>
      </c>
      <c r="F9" s="15"/>
      <c r="G9" s="12"/>
      <c r="H9" s="13"/>
    </row>
    <row r="10" ht="24.95" customHeight="1" spans="1:8">
      <c r="A10" s="14"/>
      <c r="B10" s="12"/>
      <c r="C10" s="12"/>
      <c r="D10" s="13"/>
      <c r="E10" s="14" t="s">
        <v>68</v>
      </c>
      <c r="F10" s="15"/>
      <c r="G10" s="12">
        <f>G11</f>
        <v>61</v>
      </c>
      <c r="H10" s="13">
        <f t="shared" ref="H7:H11" si="0">(F10-G10)/G10</f>
        <v>-1</v>
      </c>
    </row>
    <row r="11" ht="24.95" customHeight="1" spans="1:8">
      <c r="A11" s="18"/>
      <c r="B11" s="19"/>
      <c r="C11" s="20"/>
      <c r="D11" s="13"/>
      <c r="E11" s="14" t="s">
        <v>69</v>
      </c>
      <c r="F11" s="15"/>
      <c r="G11" s="12">
        <v>61</v>
      </c>
      <c r="H11" s="13">
        <f t="shared" si="0"/>
        <v>-1</v>
      </c>
    </row>
    <row r="12" ht="24.95" customHeight="1" spans="1:8">
      <c r="A12" s="14"/>
      <c r="B12" s="12"/>
      <c r="C12" s="12"/>
      <c r="D12" s="13"/>
      <c r="E12" s="14" t="s">
        <v>70</v>
      </c>
      <c r="F12" s="11">
        <v>0</v>
      </c>
      <c r="G12" s="12"/>
      <c r="H12" s="13"/>
    </row>
    <row r="13" ht="24.95" customHeight="1" spans="1:8">
      <c r="A13" s="21" t="s">
        <v>71</v>
      </c>
      <c r="B13" s="22"/>
      <c r="C13" s="23"/>
      <c r="D13" s="13"/>
      <c r="E13" s="14" t="s">
        <v>72</v>
      </c>
      <c r="F13" s="11">
        <v>0</v>
      </c>
      <c r="G13" s="12"/>
      <c r="H13" s="13"/>
    </row>
    <row r="14" ht="24.95" customHeight="1" spans="1:8">
      <c r="A14" s="21" t="s">
        <v>88</v>
      </c>
      <c r="B14" s="11">
        <v>0</v>
      </c>
      <c r="C14" s="11">
        <v>61</v>
      </c>
      <c r="D14" s="13">
        <f>(B14-C14)/C14</f>
        <v>-1</v>
      </c>
      <c r="E14" s="10" t="s">
        <v>74</v>
      </c>
      <c r="F14" s="11">
        <f>F5</f>
        <v>1014.55</v>
      </c>
      <c r="G14" s="11">
        <f>G5</f>
        <v>61</v>
      </c>
      <c r="H14" s="13">
        <f>(F14-G14)/G14</f>
        <v>15.6319672131148</v>
      </c>
    </row>
    <row r="15" ht="24.95" customHeight="1" spans="1:8">
      <c r="A15" s="21" t="s">
        <v>75</v>
      </c>
      <c r="B15" s="11">
        <f>B5+B14</f>
        <v>1014.55</v>
      </c>
      <c r="C15" s="12">
        <f>C14+C5+C13</f>
        <v>122</v>
      </c>
      <c r="D15" s="13">
        <f>(B15-C15)/C15</f>
        <v>7.31598360655738</v>
      </c>
      <c r="E15" s="10" t="s">
        <v>76</v>
      </c>
      <c r="F15" s="22"/>
      <c r="G15" s="24"/>
      <c r="H15" s="25"/>
    </row>
    <row r="16" ht="30" customHeight="1" spans="1:8">
      <c r="A16" s="26"/>
      <c r="B16" s="27"/>
      <c r="C16" s="27"/>
      <c r="D16" s="26"/>
      <c r="E16" s="26"/>
      <c r="F16" s="27"/>
      <c r="G16" s="27"/>
      <c r="H16" s="27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25年一般公共预算收支执行</vt:lpstr>
      <vt:lpstr>25年政府性基金收支执行</vt:lpstr>
      <vt:lpstr>2026年一般公共预算草案</vt:lpstr>
      <vt:lpstr>26年政府性基金预算草案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太空豆</cp:lastModifiedBy>
  <dcterms:created xsi:type="dcterms:W3CDTF">1996-12-18T09:32:00Z</dcterms:created>
  <cp:lastPrinted>2023-03-03T11:11:00Z</cp:lastPrinted>
  <dcterms:modified xsi:type="dcterms:W3CDTF">2026-04-22T04:02:32Z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8706103D96834CBDAAAE5B53CB55074D_13</vt:lpwstr>
  </property>
  <property fmtid="{D5CDD505-2E9C-101B-9397-08002B2CF9AE}" pid="4" name="CalculationRule">
    <vt:i4>0</vt:i4>
  </property>
</Properties>
</file>